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ATA\Salary Cap\DHHS Salary Cap\Website Templates\Website Templates\"/>
    </mc:Choice>
  </mc:AlternateContent>
  <xr:revisionPtr revIDLastSave="0" documentId="13_ncr:1_{B95AA5C2-2DF9-4212-862C-D7C27CCA5876}" xr6:coauthVersionLast="45" xr6:coauthVersionMax="45" xr10:uidLastSave="{00000000-0000-0000-0000-000000000000}"/>
  <workbookProtection workbookAlgorithmName="SHA-512" workbookHashValue="JlCWjvtESk7chYTtXveH5CW1M4Tu7JuHRnP67lw0CbqDCMQGuwaC4qpKYDvAiAJzF3Bfk8b4X3oxukh8RL7AlA==" workbookSaltValue="LBSJo6npvba+4XOACv2N/g==" workbookSpinCount="100000" lockStructure="1"/>
  <bookViews>
    <workbookView xWindow="28680" yWindow="-75" windowWidth="29040" windowHeight="15720" xr2:uid="{00000000-000D-0000-FFFF-FFFF00000000}"/>
  </bookViews>
  <sheets>
    <sheet name="12 month" sheetId="1" r:id="rId1"/>
    <sheet name="10 Month" sheetId="3" r:id="rId2"/>
    <sheet name="9 Month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2" l="1"/>
  <c r="C9" i="3"/>
  <c r="C9" i="1"/>
  <c r="C8" i="2" l="1"/>
  <c r="C8" i="3"/>
  <c r="C8" i="1"/>
  <c r="G16" i="2" l="1"/>
  <c r="G16" i="3"/>
  <c r="H16" i="1"/>
  <c r="K16" i="2" l="1"/>
  <c r="B16" i="2" l="1"/>
  <c r="I16" i="3" l="1"/>
  <c r="J16" i="3"/>
  <c r="K16" i="3"/>
  <c r="H16" i="3"/>
  <c r="K13" i="2" l="1"/>
  <c r="K15" i="2" s="1"/>
  <c r="D13" i="2"/>
  <c r="D15" i="2" s="1"/>
  <c r="E13" i="2"/>
  <c r="E15" i="2" s="1"/>
  <c r="F13" i="2"/>
  <c r="F15" i="2" s="1"/>
  <c r="G13" i="2"/>
  <c r="G15" i="2" s="1"/>
  <c r="H13" i="2"/>
  <c r="H15" i="2" s="1"/>
  <c r="I13" i="2"/>
  <c r="I15" i="2" s="1"/>
  <c r="J13" i="2"/>
  <c r="J15" i="2" s="1"/>
  <c r="C13" i="2"/>
  <c r="C15" i="2" s="1"/>
  <c r="B13" i="2"/>
  <c r="B15" i="2" s="1"/>
  <c r="H18" i="3"/>
  <c r="I18" i="3"/>
  <c r="J18" i="3"/>
  <c r="K18" i="3"/>
  <c r="C13" i="3"/>
  <c r="C15" i="3" s="1"/>
  <c r="D13" i="3"/>
  <c r="D15" i="3" s="1"/>
  <c r="E13" i="3"/>
  <c r="E15" i="3" s="1"/>
  <c r="F13" i="3"/>
  <c r="F15" i="3" s="1"/>
  <c r="G13" i="3"/>
  <c r="G15" i="3" s="1"/>
  <c r="H13" i="3"/>
  <c r="H15" i="3" s="1"/>
  <c r="I13" i="3"/>
  <c r="I15" i="3" s="1"/>
  <c r="J13" i="3"/>
  <c r="J15" i="3" s="1"/>
  <c r="K13" i="3"/>
  <c r="K15" i="3" s="1"/>
  <c r="B13" i="3"/>
  <c r="B15" i="3" s="1"/>
  <c r="C13" i="1" l="1"/>
  <c r="C15" i="1" s="1"/>
  <c r="D13" i="1"/>
  <c r="D15" i="1" s="1"/>
  <c r="E13" i="1"/>
  <c r="E15" i="1" s="1"/>
  <c r="F13" i="1"/>
  <c r="F15" i="1" s="1"/>
  <c r="G13" i="1"/>
  <c r="G15" i="1" s="1"/>
  <c r="H13" i="1"/>
  <c r="H15" i="1" s="1"/>
  <c r="I13" i="1"/>
  <c r="I15" i="1" s="1"/>
  <c r="J13" i="1"/>
  <c r="J15" i="1" s="1"/>
  <c r="K13" i="1"/>
  <c r="K15" i="1" s="1"/>
  <c r="L13" i="1"/>
  <c r="L15" i="1" s="1"/>
  <c r="M13" i="1"/>
  <c r="M15" i="1" s="1"/>
  <c r="B13" i="1"/>
  <c r="B15" i="1" s="1"/>
  <c r="K17" i="2" l="1"/>
  <c r="K19" i="2" s="1"/>
  <c r="J16" i="2"/>
  <c r="J18" i="2" s="1"/>
  <c r="H16" i="2"/>
  <c r="I16" i="2"/>
  <c r="I18" i="2" s="1"/>
  <c r="E16" i="3" l="1"/>
  <c r="E18" i="3" s="1"/>
  <c r="F16" i="3"/>
  <c r="F18" i="3" s="1"/>
  <c r="C16" i="3"/>
  <c r="C18" i="3" s="1"/>
  <c r="G18" i="3"/>
  <c r="D16" i="3"/>
  <c r="B16" i="3"/>
  <c r="B18" i="3" s="1"/>
  <c r="K18" i="2"/>
  <c r="H18" i="2"/>
  <c r="H17" i="2"/>
  <c r="H19" i="2" s="1"/>
  <c r="H17" i="3"/>
  <c r="H19" i="3" s="1"/>
  <c r="C17" i="3" l="1"/>
  <c r="C19" i="3" s="1"/>
  <c r="G17" i="3"/>
  <c r="G19" i="3" s="1"/>
  <c r="F17" i="3"/>
  <c r="F19" i="3" s="1"/>
  <c r="E17" i="3"/>
  <c r="E19" i="3" s="1"/>
  <c r="C16" i="1"/>
  <c r="C18" i="1" s="1"/>
  <c r="G16" i="1"/>
  <c r="D16" i="1"/>
  <c r="E16" i="1"/>
  <c r="B16" i="1"/>
  <c r="F16" i="1"/>
  <c r="K16" i="1"/>
  <c r="L16" i="1"/>
  <c r="M16" i="1"/>
  <c r="J16" i="1"/>
  <c r="J18" i="1" s="1"/>
  <c r="I16" i="1"/>
  <c r="F16" i="2"/>
  <c r="D16" i="2"/>
  <c r="B18" i="2"/>
  <c r="C16" i="2"/>
  <c r="E16" i="2"/>
  <c r="D17" i="3"/>
  <c r="D19" i="3" s="1"/>
  <c r="D18" i="3"/>
  <c r="I17" i="3"/>
  <c r="I19" i="3" s="1"/>
  <c r="K17" i="3"/>
  <c r="K19" i="3" s="1"/>
  <c r="J17" i="3"/>
  <c r="J19" i="3" s="1"/>
  <c r="B17" i="3"/>
  <c r="B19" i="3" s="1"/>
  <c r="G18" i="2" l="1"/>
  <c r="G17" i="2"/>
  <c r="G19" i="2" s="1"/>
  <c r="E18" i="2"/>
  <c r="E17" i="2"/>
  <c r="E19" i="2" s="1"/>
  <c r="D17" i="2"/>
  <c r="D19" i="2" s="1"/>
  <c r="D18" i="2"/>
  <c r="C18" i="2"/>
  <c r="C17" i="2"/>
  <c r="C19" i="2" s="1"/>
  <c r="F18" i="2"/>
  <c r="F17" i="2"/>
  <c r="F19" i="2" s="1"/>
  <c r="B17" i="2"/>
  <c r="B19" i="2" s="1"/>
  <c r="B18" i="1"/>
  <c r="M18" i="1"/>
  <c r="F18" i="1"/>
  <c r="E18" i="1"/>
  <c r="H18" i="1"/>
  <c r="D18" i="1"/>
  <c r="G18" i="1"/>
  <c r="J17" i="2"/>
  <c r="J19" i="2" s="1"/>
  <c r="J17" i="1"/>
  <c r="J19" i="1" s="1"/>
  <c r="I17" i="1" l="1"/>
  <c r="I19" i="1" s="1"/>
  <c r="I18" i="1"/>
  <c r="L17" i="1"/>
  <c r="L19" i="1" s="1"/>
  <c r="L18" i="1"/>
  <c r="K17" i="1"/>
  <c r="K19" i="1" s="1"/>
  <c r="K18" i="1"/>
  <c r="M17" i="1"/>
  <c r="M19" i="1" s="1"/>
  <c r="I17" i="2"/>
  <c r="I19" i="2" s="1"/>
  <c r="C17" i="1"/>
  <c r="C19" i="1" s="1"/>
  <c r="D17" i="1"/>
  <c r="D19" i="1" s="1"/>
  <c r="E17" i="1"/>
  <c r="E19" i="1" s="1"/>
  <c r="F17" i="1"/>
  <c r="F19" i="1" s="1"/>
  <c r="G17" i="1"/>
  <c r="G19" i="1" s="1"/>
  <c r="H17" i="1"/>
  <c r="H19" i="1" s="1"/>
  <c r="B17" i="1"/>
  <c r="B19" i="1" s="1"/>
</calcChain>
</file>

<file path=xl/sharedStrings.xml><?xml version="1.0" encoding="utf-8"?>
<sst xmlns="http://schemas.openxmlformats.org/spreadsheetml/2006/main" count="95" uniqueCount="42">
  <si>
    <t>Employee Name</t>
  </si>
  <si>
    <t>FTE %</t>
  </si>
  <si>
    <t>Months in contract</t>
  </si>
  <si>
    <t>Months</t>
  </si>
  <si>
    <t>July</t>
  </si>
  <si>
    <t>August</t>
  </si>
  <si>
    <t>September</t>
  </si>
  <si>
    <t>October</t>
  </si>
  <si>
    <t>November</t>
  </si>
  <si>
    <t>December</t>
  </si>
  <si>
    <t xml:space="preserve">January </t>
  </si>
  <si>
    <t>February</t>
  </si>
  <si>
    <t>March</t>
  </si>
  <si>
    <t>April</t>
  </si>
  <si>
    <t xml:space="preserve">May </t>
  </si>
  <si>
    <t>June</t>
  </si>
  <si>
    <t>Effort Per Month</t>
  </si>
  <si>
    <t>Allowable on Sponsor Funds</t>
  </si>
  <si>
    <t>To be Cost Shared</t>
  </si>
  <si>
    <t>Grant Number</t>
  </si>
  <si>
    <t>Minnie Mouse</t>
  </si>
  <si>
    <t>Donald Duck</t>
  </si>
  <si>
    <t>Budget Period</t>
  </si>
  <si>
    <t>Cost Share Fund</t>
  </si>
  <si>
    <t>Monthly Salary</t>
  </si>
  <si>
    <t>Monthly Salary on Grant</t>
  </si>
  <si>
    <t>Direct Charge % for Compliance</t>
  </si>
  <si>
    <t>Cost Share % for Compliance</t>
  </si>
  <si>
    <t>Effort % Direct Charge for Compliance</t>
  </si>
  <si>
    <t>Effort % Cost Share For Compliance</t>
  </si>
  <si>
    <t>Institution Base Salary/Annual Salary</t>
  </si>
  <si>
    <t>Institutional Base Salary/Annual Salary</t>
  </si>
  <si>
    <t>Person ID</t>
  </si>
  <si>
    <t>00000002</t>
  </si>
  <si>
    <t>00000003</t>
  </si>
  <si>
    <t>00000001</t>
  </si>
  <si>
    <t>Mickey Mouse</t>
  </si>
  <si>
    <t>**Fields highlighted in blue need to be completed by the department.</t>
  </si>
  <si>
    <t>Annual Salary Cap (July to December)</t>
  </si>
  <si>
    <t>Annual Salary Cap (January to June)</t>
  </si>
  <si>
    <t>Annual Salary Cap (August to December)</t>
  </si>
  <si>
    <t>Annual Salary Cap (January to May)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</si>
</sst>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right"/>
    </xf>
    <xf numFmtId="44" fontId="0" fillId="0" borderId="1" xfId="1" applyFont="1" applyBorder="1" applyAlignment="1" applyProtection="1">
      <alignment horizontal="center"/>
    </xf>
    <xf numFmtId="0" fontId="0" fillId="0" borderId="1" xfId="0" applyBorder="1" applyAlignment="1" applyProtection="1">
      <alignment horizontal="right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44" fontId="0" fillId="0" borderId="1" xfId="1" applyFont="1" applyBorder="1" applyAlignment="1" applyProtection="1">
      <alignment horizontal="right"/>
      <protection hidden="1"/>
    </xf>
    <xf numFmtId="10" fontId="0" fillId="0" borderId="1" xfId="2" applyNumberFormat="1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 wrapText="1"/>
    </xf>
    <xf numFmtId="0" fontId="0" fillId="0" borderId="0" xfId="0" applyProtection="1"/>
    <xf numFmtId="0" fontId="0" fillId="0" borderId="1" xfId="0" applyBorder="1" applyProtection="1"/>
    <xf numFmtId="0" fontId="0" fillId="0" borderId="1" xfId="0" applyBorder="1" applyAlignment="1" applyProtection="1">
      <alignment wrapText="1"/>
    </xf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Alignment="1" applyProtection="1">
      <alignment horizontal="right"/>
    </xf>
    <xf numFmtId="44" fontId="0" fillId="0" borderId="1" xfId="1" applyFont="1" applyBorder="1" applyAlignment="1" applyProtection="1">
      <alignment horizontal="right"/>
    </xf>
    <xf numFmtId="10" fontId="0" fillId="0" borderId="1" xfId="2" applyNumberFormat="1" applyFont="1" applyBorder="1" applyAlignment="1" applyProtection="1">
      <alignment horizontal="right"/>
    </xf>
    <xf numFmtId="10" fontId="0" fillId="0" borderId="0" xfId="2" applyNumberFormat="1" applyFont="1" applyBorder="1" applyAlignment="1" applyProtection="1">
      <alignment horizontal="right"/>
    </xf>
    <xf numFmtId="10" fontId="0" fillId="0" borderId="0" xfId="0" applyNumberFormat="1" applyProtection="1"/>
    <xf numFmtId="0" fontId="2" fillId="2" borderId="1" xfId="0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4" fontId="2" fillId="2" borderId="1" xfId="1" applyFont="1" applyFill="1" applyBorder="1" applyAlignment="1" applyProtection="1">
      <alignment horizontal="center"/>
      <protection locked="0"/>
    </xf>
    <xf numFmtId="10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Protection="1"/>
    <xf numFmtId="0" fontId="0" fillId="2" borderId="0" xfId="0" applyFill="1" applyProtection="1">
      <protection locked="0"/>
    </xf>
    <xf numFmtId="10" fontId="2" fillId="2" borderId="1" xfId="2" applyNumberFormat="1" applyFont="1" applyFill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808B8"/>
      <color rgb="FF2218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3324224</xdr:colOff>
      <xdr:row>10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4F63D2-FAC1-46FE-856A-779E59686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24224" cy="2495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0</xdr:col>
      <xdr:colOff>3057525</xdr:colOff>
      <xdr:row>10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49C1A8-EA92-43E7-9406-72375B21E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9049"/>
          <a:ext cx="3048000" cy="24669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19049</xdr:rowOff>
    </xdr:from>
    <xdr:to>
      <xdr:col>0</xdr:col>
      <xdr:colOff>3305175</xdr:colOff>
      <xdr:row>9</xdr:row>
      <xdr:rowOff>180974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FA13EB-BEF7-48DC-B875-6C4A07799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" y="19049"/>
          <a:ext cx="3295651" cy="2447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workbookViewId="0">
      <selection activeCell="G14" sqref="G14"/>
    </sheetView>
  </sheetViews>
  <sheetFormatPr defaultColWidth="9.140625" defaultRowHeight="15" x14ac:dyDescent="0.25"/>
  <cols>
    <col min="1" max="1" width="65" style="12" bestFit="1" customWidth="1"/>
    <col min="2" max="2" width="24" style="12" customWidth="1"/>
    <col min="3" max="3" width="21.5703125" style="12" bestFit="1" customWidth="1"/>
    <col min="4" max="13" width="14.28515625" style="12" bestFit="1" customWidth="1"/>
    <col min="14" max="18" width="9.140625" style="12"/>
    <col min="19" max="19" width="10" style="12" bestFit="1" customWidth="1"/>
    <col min="20" max="16384" width="9.140625" style="12"/>
  </cols>
  <sheetData>
    <row r="1" spans="1:13" x14ac:dyDescent="0.25">
      <c r="B1" s="13" t="s">
        <v>19</v>
      </c>
      <c r="C1" s="21"/>
    </row>
    <row r="2" spans="1:13" x14ac:dyDescent="0.25">
      <c r="B2" s="13" t="s">
        <v>22</v>
      </c>
      <c r="C2" s="21"/>
    </row>
    <row r="3" spans="1:13" x14ac:dyDescent="0.25">
      <c r="B3" s="13" t="s">
        <v>23</v>
      </c>
      <c r="C3" s="22"/>
    </row>
    <row r="4" spans="1:13" x14ac:dyDescent="0.25">
      <c r="B4" s="13" t="s">
        <v>32</v>
      </c>
      <c r="C4" s="22" t="s">
        <v>35</v>
      </c>
    </row>
    <row r="5" spans="1:13" x14ac:dyDescent="0.25">
      <c r="B5" s="13" t="s">
        <v>0</v>
      </c>
      <c r="C5" s="21" t="s">
        <v>36</v>
      </c>
    </row>
    <row r="6" spans="1:13" x14ac:dyDescent="0.25">
      <c r="B6" s="13" t="s">
        <v>1</v>
      </c>
      <c r="C6" s="27">
        <v>1</v>
      </c>
    </row>
    <row r="7" spans="1:13" ht="30" x14ac:dyDescent="0.25">
      <c r="B7" s="14" t="s">
        <v>31</v>
      </c>
      <c r="C7" s="23">
        <v>310000</v>
      </c>
    </row>
    <row r="8" spans="1:13" ht="30" x14ac:dyDescent="0.25">
      <c r="B8" s="14" t="s">
        <v>38</v>
      </c>
      <c r="C8" s="3">
        <f>(C6*(212100/12)*C10)</f>
        <v>212100</v>
      </c>
    </row>
    <row r="9" spans="1:13" ht="30" x14ac:dyDescent="0.25">
      <c r="B9" s="14" t="s">
        <v>39</v>
      </c>
      <c r="C9" s="3">
        <f>(C6*(221900/12)*C10)</f>
        <v>221900</v>
      </c>
    </row>
    <row r="10" spans="1:13" x14ac:dyDescent="0.25">
      <c r="B10" s="13" t="s">
        <v>2</v>
      </c>
      <c r="C10" s="15">
        <v>12</v>
      </c>
    </row>
    <row r="12" spans="1:13" x14ac:dyDescent="0.25">
      <c r="A12" s="2" t="s">
        <v>3</v>
      </c>
      <c r="B12" s="2" t="s">
        <v>4</v>
      </c>
      <c r="C12" s="2" t="s">
        <v>5</v>
      </c>
      <c r="D12" s="2" t="s">
        <v>6</v>
      </c>
      <c r="E12" s="2" t="s">
        <v>7</v>
      </c>
      <c r="F12" s="2" t="s">
        <v>8</v>
      </c>
      <c r="G12" s="2" t="s">
        <v>9</v>
      </c>
      <c r="H12" s="2" t="s">
        <v>10</v>
      </c>
      <c r="I12" s="2" t="s">
        <v>11</v>
      </c>
      <c r="J12" s="2" t="s">
        <v>12</v>
      </c>
      <c r="K12" s="2" t="s">
        <v>13</v>
      </c>
      <c r="L12" s="2" t="s">
        <v>14</v>
      </c>
      <c r="M12" s="2" t="s">
        <v>15</v>
      </c>
    </row>
    <row r="13" spans="1:13" x14ac:dyDescent="0.25">
      <c r="A13" s="2" t="s">
        <v>24</v>
      </c>
      <c r="B13" s="16">
        <f>$C$7/$C$10</f>
        <v>25833.333333333332</v>
      </c>
      <c r="C13" s="16">
        <f t="shared" ref="C13:M13" si="0">$C$7/$C$10</f>
        <v>25833.333333333332</v>
      </c>
      <c r="D13" s="16">
        <f t="shared" si="0"/>
        <v>25833.333333333332</v>
      </c>
      <c r="E13" s="16">
        <f t="shared" si="0"/>
        <v>25833.333333333332</v>
      </c>
      <c r="F13" s="16">
        <f t="shared" si="0"/>
        <v>25833.333333333332</v>
      </c>
      <c r="G13" s="16">
        <f t="shared" si="0"/>
        <v>25833.333333333332</v>
      </c>
      <c r="H13" s="16">
        <f t="shared" si="0"/>
        <v>25833.333333333332</v>
      </c>
      <c r="I13" s="16">
        <f t="shared" si="0"/>
        <v>25833.333333333332</v>
      </c>
      <c r="J13" s="16">
        <f t="shared" si="0"/>
        <v>25833.333333333332</v>
      </c>
      <c r="K13" s="16">
        <f t="shared" si="0"/>
        <v>25833.333333333332</v>
      </c>
      <c r="L13" s="16">
        <f t="shared" si="0"/>
        <v>25833.333333333332</v>
      </c>
      <c r="M13" s="16">
        <f t="shared" si="0"/>
        <v>25833.333333333332</v>
      </c>
    </row>
    <row r="14" spans="1:13" x14ac:dyDescent="0.25">
      <c r="A14" s="4" t="s">
        <v>16</v>
      </c>
      <c r="B14" s="24">
        <v>0.11</v>
      </c>
      <c r="C14" s="24">
        <v>0.11</v>
      </c>
      <c r="D14" s="24">
        <v>0.11260000000000001</v>
      </c>
      <c r="E14" s="24">
        <v>0.11260000000000001</v>
      </c>
      <c r="F14" s="24">
        <v>0.11260000000000001</v>
      </c>
      <c r="G14" s="24">
        <v>0.11260000000000001</v>
      </c>
      <c r="H14" s="24">
        <v>0.11260000000000001</v>
      </c>
      <c r="I14" s="24">
        <v>0.11260000000000001</v>
      </c>
      <c r="J14" s="24">
        <v>0.11260000000000001</v>
      </c>
      <c r="K14" s="24">
        <v>0.12</v>
      </c>
      <c r="L14" s="24">
        <v>0.12</v>
      </c>
      <c r="M14" s="24">
        <v>0.12</v>
      </c>
    </row>
    <row r="15" spans="1:13" x14ac:dyDescent="0.25">
      <c r="A15" s="4" t="s">
        <v>25</v>
      </c>
      <c r="B15" s="17">
        <f>B13*B14</f>
        <v>2841.6666666666665</v>
      </c>
      <c r="C15" s="17">
        <f t="shared" ref="C15:M15" si="1">C13*C14</f>
        <v>2841.6666666666665</v>
      </c>
      <c r="D15" s="17">
        <f t="shared" si="1"/>
        <v>2908.8333333333335</v>
      </c>
      <c r="E15" s="17">
        <f t="shared" si="1"/>
        <v>2908.8333333333335</v>
      </c>
      <c r="F15" s="17">
        <f t="shared" si="1"/>
        <v>2908.8333333333335</v>
      </c>
      <c r="G15" s="17">
        <f t="shared" si="1"/>
        <v>2908.8333333333335</v>
      </c>
      <c r="H15" s="17">
        <f t="shared" si="1"/>
        <v>2908.8333333333335</v>
      </c>
      <c r="I15" s="17">
        <f t="shared" si="1"/>
        <v>2908.8333333333335</v>
      </c>
      <c r="J15" s="17">
        <f t="shared" si="1"/>
        <v>2908.8333333333335</v>
      </c>
      <c r="K15" s="17">
        <f t="shared" si="1"/>
        <v>3099.9999999999995</v>
      </c>
      <c r="L15" s="17">
        <f t="shared" si="1"/>
        <v>3099.9999999999995</v>
      </c>
      <c r="M15" s="17">
        <f t="shared" si="1"/>
        <v>3099.9999999999995</v>
      </c>
    </row>
    <row r="16" spans="1:13" x14ac:dyDescent="0.25">
      <c r="A16" s="4" t="s">
        <v>17</v>
      </c>
      <c r="B16" s="17">
        <f>(($C$8)/$C$10)*B14</f>
        <v>1944.25</v>
      </c>
      <c r="C16" s="17">
        <f t="shared" ref="C16:G16" si="2">(($C$8)/$C$10)*C14</f>
        <v>1944.25</v>
      </c>
      <c r="D16" s="17">
        <f t="shared" si="2"/>
        <v>1990.2050000000002</v>
      </c>
      <c r="E16" s="17">
        <f t="shared" si="2"/>
        <v>1990.2050000000002</v>
      </c>
      <c r="F16" s="17">
        <f t="shared" si="2"/>
        <v>1990.2050000000002</v>
      </c>
      <c r="G16" s="17">
        <f t="shared" si="2"/>
        <v>1990.2050000000002</v>
      </c>
      <c r="H16" s="17">
        <f>(($C$9)/$C$10)*H14</f>
        <v>2082.1616666666669</v>
      </c>
      <c r="I16" s="17">
        <f>(($C$9)/$C$10)*I14</f>
        <v>2082.1616666666669</v>
      </c>
      <c r="J16" s="17">
        <f t="shared" ref="J16:M16" si="3">(($C$9)/$C$10)*J14</f>
        <v>2082.1616666666669</v>
      </c>
      <c r="K16" s="17">
        <f t="shared" si="3"/>
        <v>2219</v>
      </c>
      <c r="L16" s="17">
        <f t="shared" si="3"/>
        <v>2219</v>
      </c>
      <c r="M16" s="17">
        <f t="shared" si="3"/>
        <v>2219</v>
      </c>
    </row>
    <row r="17" spans="1:13" x14ac:dyDescent="0.25">
      <c r="A17" s="4" t="s">
        <v>18</v>
      </c>
      <c r="B17" s="17">
        <f t="shared" ref="B17:M17" si="4">(($C$7/$C$10)*B14)-B16</f>
        <v>897.41666666666652</v>
      </c>
      <c r="C17" s="17">
        <f t="shared" si="4"/>
        <v>897.41666666666652</v>
      </c>
      <c r="D17" s="17">
        <f t="shared" si="4"/>
        <v>918.62833333333333</v>
      </c>
      <c r="E17" s="17">
        <f t="shared" si="4"/>
        <v>918.62833333333333</v>
      </c>
      <c r="F17" s="17">
        <f t="shared" si="4"/>
        <v>918.62833333333333</v>
      </c>
      <c r="G17" s="17">
        <f t="shared" si="4"/>
        <v>918.62833333333333</v>
      </c>
      <c r="H17" s="17">
        <f t="shared" si="4"/>
        <v>826.67166666666662</v>
      </c>
      <c r="I17" s="17">
        <f t="shared" si="4"/>
        <v>826.67166666666662</v>
      </c>
      <c r="J17" s="17">
        <f t="shared" si="4"/>
        <v>826.67166666666662</v>
      </c>
      <c r="K17" s="17">
        <f t="shared" si="4"/>
        <v>880.99999999999955</v>
      </c>
      <c r="L17" s="17">
        <f t="shared" si="4"/>
        <v>880.99999999999955</v>
      </c>
      <c r="M17" s="17">
        <f t="shared" si="4"/>
        <v>880.99999999999955</v>
      </c>
    </row>
    <row r="18" spans="1:13" x14ac:dyDescent="0.25">
      <c r="A18" s="4" t="s">
        <v>26</v>
      </c>
      <c r="B18" s="18">
        <f>ROUNDDOWN((B16/($C$7/$C$10)),4)</f>
        <v>7.5200000000000003E-2</v>
      </c>
      <c r="C18" s="18">
        <f t="shared" ref="C18:M18" si="5">ROUNDDOWN((C16/($C$7/$C$10)),4)</f>
        <v>7.5200000000000003E-2</v>
      </c>
      <c r="D18" s="18">
        <f t="shared" si="5"/>
        <v>7.6999999999999999E-2</v>
      </c>
      <c r="E18" s="18">
        <f t="shared" si="5"/>
        <v>7.6999999999999999E-2</v>
      </c>
      <c r="F18" s="18">
        <f t="shared" si="5"/>
        <v>7.6999999999999999E-2</v>
      </c>
      <c r="G18" s="18">
        <f t="shared" si="5"/>
        <v>7.6999999999999999E-2</v>
      </c>
      <c r="H18" s="18">
        <f t="shared" si="5"/>
        <v>8.0500000000000002E-2</v>
      </c>
      <c r="I18" s="18">
        <f t="shared" si="5"/>
        <v>8.0500000000000002E-2</v>
      </c>
      <c r="J18" s="18">
        <f t="shared" si="5"/>
        <v>8.0500000000000002E-2</v>
      </c>
      <c r="K18" s="18">
        <f t="shared" si="5"/>
        <v>8.5800000000000001E-2</v>
      </c>
      <c r="L18" s="18">
        <f t="shared" si="5"/>
        <v>8.5800000000000001E-2</v>
      </c>
      <c r="M18" s="18">
        <f t="shared" si="5"/>
        <v>8.5800000000000001E-2</v>
      </c>
    </row>
    <row r="19" spans="1:13" x14ac:dyDescent="0.25">
      <c r="A19" s="4" t="s">
        <v>27</v>
      </c>
      <c r="B19" s="18">
        <f>ROUNDUP((B17/($C$7/$C$10)),4)</f>
        <v>3.4800000000000005E-2</v>
      </c>
      <c r="C19" s="18">
        <f t="shared" ref="C19:M19" si="6">ROUNDUP((C17/($C$7/$C$10)),4)</f>
        <v>3.4800000000000005E-2</v>
      </c>
      <c r="D19" s="18">
        <f t="shared" si="6"/>
        <v>3.56E-2</v>
      </c>
      <c r="E19" s="18">
        <f t="shared" si="6"/>
        <v>3.56E-2</v>
      </c>
      <c r="F19" s="18">
        <f t="shared" si="6"/>
        <v>3.56E-2</v>
      </c>
      <c r="G19" s="18">
        <f t="shared" si="6"/>
        <v>3.56E-2</v>
      </c>
      <c r="H19" s="18">
        <f t="shared" si="6"/>
        <v>3.2100000000000004E-2</v>
      </c>
      <c r="I19" s="18">
        <f t="shared" si="6"/>
        <v>3.2100000000000004E-2</v>
      </c>
      <c r="J19" s="18">
        <f t="shared" si="6"/>
        <v>3.2100000000000004E-2</v>
      </c>
      <c r="K19" s="18">
        <f t="shared" si="6"/>
        <v>3.4200000000000001E-2</v>
      </c>
      <c r="L19" s="18">
        <f t="shared" si="6"/>
        <v>3.4200000000000001E-2</v>
      </c>
      <c r="M19" s="18">
        <f t="shared" si="6"/>
        <v>3.4200000000000001E-2</v>
      </c>
    </row>
    <row r="20" spans="1:13" x14ac:dyDescent="0.25">
      <c r="A20" s="11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3" x14ac:dyDescent="0.25">
      <c r="A21" s="25" t="s">
        <v>37</v>
      </c>
    </row>
    <row r="25" spans="1:13" x14ac:dyDescent="0.25">
      <c r="C25" s="20"/>
    </row>
  </sheetData>
  <sheetProtection algorithmName="SHA-512" hashValue="YrXJagZzX/KCwHr9zwidwNI/tMynmmCOpl1Q6PactWSQHbkCi4oIwfLrc4w84jSev2ZbAUd2iyR+SHMlx1BBBQ==" saltValue="CRE+ZmOmg1w1CCxOSG1K5Q==" spinCount="100000" sheet="1" objects="1" scenarios="1" selectLockedCells="1"/>
  <protectedRanges>
    <protectedRange sqref="C1:C7" name="Range1" securityDescriptor="O:WDG:WDD:(A;;CC;;;AU)"/>
    <protectedRange sqref="B14:M14" name="Range2" securityDescriptor="O:WDG:WDD:(A;;CC;;;AU)"/>
  </protectedRanges>
  <pageMargins left="0.7" right="0.7" top="0.75" bottom="0.75" header="0.3" footer="0.3"/>
  <pageSetup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1"/>
  <sheetViews>
    <sheetView workbookViewId="0">
      <selection activeCell="F14" sqref="F14"/>
    </sheetView>
  </sheetViews>
  <sheetFormatPr defaultRowHeight="15" x14ac:dyDescent="0.25"/>
  <cols>
    <col min="1" max="1" width="64.85546875" bestFit="1" customWidth="1"/>
    <col min="2" max="2" width="22.5703125" bestFit="1" customWidth="1"/>
    <col min="3" max="3" width="22.5703125" customWidth="1"/>
    <col min="4" max="11" width="15.28515625" bestFit="1" customWidth="1"/>
  </cols>
  <sheetData>
    <row r="1" spans="1:11" x14ac:dyDescent="0.25">
      <c r="B1" s="1" t="s">
        <v>19</v>
      </c>
      <c r="C1" s="21"/>
    </row>
    <row r="2" spans="1:11" x14ac:dyDescent="0.25">
      <c r="B2" s="1" t="s">
        <v>22</v>
      </c>
      <c r="C2" s="21"/>
    </row>
    <row r="3" spans="1:11" x14ac:dyDescent="0.25">
      <c r="B3" s="1" t="s">
        <v>23</v>
      </c>
      <c r="C3" s="22"/>
    </row>
    <row r="4" spans="1:11" x14ac:dyDescent="0.25">
      <c r="B4" s="1" t="s">
        <v>32</v>
      </c>
      <c r="C4" s="22" t="s">
        <v>33</v>
      </c>
    </row>
    <row r="5" spans="1:11" x14ac:dyDescent="0.25">
      <c r="B5" s="1" t="s">
        <v>0</v>
      </c>
      <c r="C5" s="21" t="s">
        <v>20</v>
      </c>
    </row>
    <row r="6" spans="1:11" x14ac:dyDescent="0.25">
      <c r="B6" s="1" t="s">
        <v>1</v>
      </c>
      <c r="C6" s="27">
        <v>0.75</v>
      </c>
    </row>
    <row r="7" spans="1:11" ht="30" x14ac:dyDescent="0.25">
      <c r="B7" s="5" t="s">
        <v>30</v>
      </c>
      <c r="C7" s="23">
        <v>150000</v>
      </c>
    </row>
    <row r="8" spans="1:11" ht="30" x14ac:dyDescent="0.25">
      <c r="B8" s="5" t="s">
        <v>40</v>
      </c>
      <c r="C8" s="3">
        <f>(C6*(212100/12)*C10)</f>
        <v>132562.5</v>
      </c>
    </row>
    <row r="9" spans="1:11" ht="30" x14ac:dyDescent="0.25">
      <c r="B9" s="5" t="s">
        <v>41</v>
      </c>
      <c r="C9" s="3">
        <f>(C6*(221900/12)*C10)</f>
        <v>138687.5</v>
      </c>
    </row>
    <row r="10" spans="1:11" x14ac:dyDescent="0.25">
      <c r="B10" s="1" t="s">
        <v>2</v>
      </c>
      <c r="C10" s="6">
        <v>10</v>
      </c>
    </row>
    <row r="12" spans="1:11" x14ac:dyDescent="0.25">
      <c r="A12" s="2" t="s">
        <v>3</v>
      </c>
      <c r="B12" s="2" t="s">
        <v>5</v>
      </c>
      <c r="C12" s="2" t="s">
        <v>6</v>
      </c>
      <c r="D12" s="2" t="s">
        <v>7</v>
      </c>
      <c r="E12" s="2" t="s">
        <v>8</v>
      </c>
      <c r="F12" s="2" t="s">
        <v>9</v>
      </c>
      <c r="G12" s="2" t="s">
        <v>10</v>
      </c>
      <c r="H12" s="2" t="s">
        <v>11</v>
      </c>
      <c r="I12" s="2" t="s">
        <v>12</v>
      </c>
      <c r="J12" s="2" t="s">
        <v>13</v>
      </c>
      <c r="K12" s="2" t="s">
        <v>14</v>
      </c>
    </row>
    <row r="13" spans="1:11" x14ac:dyDescent="0.25">
      <c r="A13" s="4" t="s">
        <v>24</v>
      </c>
      <c r="B13" s="9">
        <f>$C$7/$C$10</f>
        <v>15000</v>
      </c>
      <c r="C13" s="9">
        <f t="shared" ref="C13:K13" si="0">$C$7/$C$10</f>
        <v>15000</v>
      </c>
      <c r="D13" s="9">
        <f t="shared" si="0"/>
        <v>15000</v>
      </c>
      <c r="E13" s="9">
        <f t="shared" si="0"/>
        <v>15000</v>
      </c>
      <c r="F13" s="9">
        <f t="shared" si="0"/>
        <v>15000</v>
      </c>
      <c r="G13" s="9">
        <f t="shared" si="0"/>
        <v>15000</v>
      </c>
      <c r="H13" s="9">
        <f t="shared" si="0"/>
        <v>15000</v>
      </c>
      <c r="I13" s="9">
        <f t="shared" si="0"/>
        <v>15000</v>
      </c>
      <c r="J13" s="9">
        <f t="shared" si="0"/>
        <v>15000</v>
      </c>
      <c r="K13" s="9">
        <f t="shared" si="0"/>
        <v>15000</v>
      </c>
    </row>
    <row r="14" spans="1:11" x14ac:dyDescent="0.25">
      <c r="A14" s="4" t="s">
        <v>16</v>
      </c>
      <c r="B14" s="24">
        <v>0.1</v>
      </c>
      <c r="C14" s="24">
        <v>0.1</v>
      </c>
      <c r="D14" s="24">
        <v>0.1</v>
      </c>
      <c r="E14" s="24">
        <v>0.1</v>
      </c>
      <c r="F14" s="24">
        <v>0.1</v>
      </c>
      <c r="G14" s="24">
        <v>0.1</v>
      </c>
      <c r="H14" s="24">
        <v>0.1</v>
      </c>
      <c r="I14" s="24">
        <v>0.1</v>
      </c>
      <c r="J14" s="24">
        <v>0.1</v>
      </c>
      <c r="K14" s="24">
        <v>0.1</v>
      </c>
    </row>
    <row r="15" spans="1:11" x14ac:dyDescent="0.25">
      <c r="A15" s="4" t="s">
        <v>25</v>
      </c>
      <c r="B15" s="9">
        <f>B13*B14</f>
        <v>1500</v>
      </c>
      <c r="C15" s="9">
        <f t="shared" ref="C15:K15" si="1">C13*C14</f>
        <v>1500</v>
      </c>
      <c r="D15" s="9">
        <f t="shared" si="1"/>
        <v>1500</v>
      </c>
      <c r="E15" s="9">
        <f t="shared" si="1"/>
        <v>1500</v>
      </c>
      <c r="F15" s="9">
        <f t="shared" si="1"/>
        <v>1500</v>
      </c>
      <c r="G15" s="9">
        <f t="shared" si="1"/>
        <v>1500</v>
      </c>
      <c r="H15" s="9">
        <f t="shared" si="1"/>
        <v>1500</v>
      </c>
      <c r="I15" s="9">
        <f t="shared" si="1"/>
        <v>1500</v>
      </c>
      <c r="J15" s="9">
        <f t="shared" si="1"/>
        <v>1500</v>
      </c>
      <c r="K15" s="9">
        <f t="shared" si="1"/>
        <v>1500</v>
      </c>
    </row>
    <row r="16" spans="1:11" x14ac:dyDescent="0.25">
      <c r="A16" s="4" t="s">
        <v>17</v>
      </c>
      <c r="B16" s="9">
        <f>(($C$8)/$C$10)*B14</f>
        <v>1325.625</v>
      </c>
      <c r="C16" s="9">
        <f t="shared" ref="C16:F16" si="2">(($C$8)/$C$10)*C14</f>
        <v>1325.625</v>
      </c>
      <c r="D16" s="9">
        <f t="shared" si="2"/>
        <v>1325.625</v>
      </c>
      <c r="E16" s="9">
        <f t="shared" si="2"/>
        <v>1325.625</v>
      </c>
      <c r="F16" s="9">
        <f t="shared" si="2"/>
        <v>1325.625</v>
      </c>
      <c r="G16" s="9">
        <f>(($C$9)/$C$10)*G14</f>
        <v>1386.875</v>
      </c>
      <c r="H16" s="9">
        <f>((($C$9)/$C$10))*H14</f>
        <v>1386.875</v>
      </c>
      <c r="I16" s="9">
        <f t="shared" ref="I16:K16" si="3">((($C$9)/$C$10))*I14</f>
        <v>1386.875</v>
      </c>
      <c r="J16" s="9">
        <f t="shared" si="3"/>
        <v>1386.875</v>
      </c>
      <c r="K16" s="9">
        <f t="shared" si="3"/>
        <v>1386.875</v>
      </c>
    </row>
    <row r="17" spans="1:11" x14ac:dyDescent="0.25">
      <c r="A17" s="4" t="s">
        <v>18</v>
      </c>
      <c r="B17" s="9">
        <f>(($C$7/$C$10)*B14)-B16</f>
        <v>174.375</v>
      </c>
      <c r="C17" s="9">
        <f t="shared" ref="C17:G17" si="4">(($C$7/$C$10)*C14)-C16</f>
        <v>174.375</v>
      </c>
      <c r="D17" s="9">
        <f t="shared" si="4"/>
        <v>174.375</v>
      </c>
      <c r="E17" s="9">
        <f t="shared" si="4"/>
        <v>174.375</v>
      </c>
      <c r="F17" s="9">
        <f t="shared" si="4"/>
        <v>174.375</v>
      </c>
      <c r="G17" s="9">
        <f t="shared" si="4"/>
        <v>113.125</v>
      </c>
      <c r="H17" s="9">
        <f>(($C$7/$C$10)*H14)-H16</f>
        <v>113.125</v>
      </c>
      <c r="I17" s="9">
        <f>(($C$7/$C$10)*I14)-I16</f>
        <v>113.125</v>
      </c>
      <c r="J17" s="9">
        <f>(($C$7/$C$10)*J14)-J16</f>
        <v>113.125</v>
      </c>
      <c r="K17" s="9">
        <f>(($C$7/$C$10)*K14)-K16</f>
        <v>113.125</v>
      </c>
    </row>
    <row r="18" spans="1:11" x14ac:dyDescent="0.25">
      <c r="A18" s="4" t="s">
        <v>28</v>
      </c>
      <c r="B18" s="10">
        <f>ROUNDDOWN((B16/($C$7/$C$10)),4)</f>
        <v>8.8300000000000003E-2</v>
      </c>
      <c r="C18" s="10">
        <f t="shared" ref="C18:K18" si="5">ROUNDDOWN((C16/($C$7/$C$10)),4)</f>
        <v>8.8300000000000003E-2</v>
      </c>
      <c r="D18" s="10">
        <f t="shared" si="5"/>
        <v>8.8300000000000003E-2</v>
      </c>
      <c r="E18" s="10">
        <f t="shared" si="5"/>
        <v>8.8300000000000003E-2</v>
      </c>
      <c r="F18" s="10">
        <f t="shared" si="5"/>
        <v>8.8300000000000003E-2</v>
      </c>
      <c r="G18" s="10">
        <f t="shared" si="5"/>
        <v>9.2399999999999996E-2</v>
      </c>
      <c r="H18" s="10">
        <f t="shared" si="5"/>
        <v>9.2399999999999996E-2</v>
      </c>
      <c r="I18" s="10">
        <f t="shared" si="5"/>
        <v>9.2399999999999996E-2</v>
      </c>
      <c r="J18" s="10">
        <f t="shared" si="5"/>
        <v>9.2399999999999996E-2</v>
      </c>
      <c r="K18" s="10">
        <f t="shared" si="5"/>
        <v>9.2399999999999996E-2</v>
      </c>
    </row>
    <row r="19" spans="1:11" x14ac:dyDescent="0.25">
      <c r="A19" s="4" t="s">
        <v>29</v>
      </c>
      <c r="B19" s="10">
        <f>ROUNDUP((B17/($C$7/$C$10)),4)</f>
        <v>1.1699999999999999E-2</v>
      </c>
      <c r="C19" s="10">
        <f t="shared" ref="C19:K19" si="6">ROUNDUP((C17/($C$7/$C$10)),4)</f>
        <v>1.1699999999999999E-2</v>
      </c>
      <c r="D19" s="10">
        <f t="shared" si="6"/>
        <v>1.1699999999999999E-2</v>
      </c>
      <c r="E19" s="10">
        <f t="shared" si="6"/>
        <v>1.1699999999999999E-2</v>
      </c>
      <c r="F19" s="10">
        <f t="shared" si="6"/>
        <v>1.1699999999999999E-2</v>
      </c>
      <c r="G19" s="10">
        <f t="shared" si="6"/>
        <v>7.6E-3</v>
      </c>
      <c r="H19" s="10">
        <f t="shared" si="6"/>
        <v>7.6E-3</v>
      </c>
      <c r="I19" s="10">
        <f t="shared" si="6"/>
        <v>7.6E-3</v>
      </c>
      <c r="J19" s="10">
        <f t="shared" si="6"/>
        <v>7.6E-3</v>
      </c>
      <c r="K19" s="10">
        <f t="shared" si="6"/>
        <v>7.6E-3</v>
      </c>
    </row>
    <row r="21" spans="1:11" x14ac:dyDescent="0.25">
      <c r="A21" s="26" t="s">
        <v>37</v>
      </c>
    </row>
  </sheetData>
  <sheetProtection algorithmName="SHA-512" hashValue="DYK82ihsKMiPeSAdQv3tojePmdSI1bsQvxkSEEoxrZzXBOJ3UBZg0pkNcOs0Jx2kvj27y2fd8hKTZIk5ELngGA==" saltValue="/3ct4Gd686pRp97RNZLr/g==" spinCount="100000" sheet="1" objects="1" scenarios="1" selectLockedCells="1"/>
  <protectedRanges>
    <protectedRange algorithmName="SHA-512" hashValue="7FflwHmxZqesZXNZSfcuPXQhw21VkZk2LLcPyMGVPK4Lr6Mi0clRtAA0Wl98/Q6pfEPAj5vJ3H33M8kPBEc3xQ==" saltValue="1GvZv7/TaH1o5brEA20tXQ==" spinCount="100000" sqref="B14:K15" name="Range2" securityDescriptor="O:WDG:WDD:(A;;CC;;;AU)"/>
    <protectedRange algorithmName="SHA-512" hashValue="WeWkvhNkRF335ZqLkurxuOa3hXEA+lqUoBaUgPJTsHC6zkqeuIrkZ1wYLS5D2exUAHQUvVM8754YWy4tcXfYpQ==" saltValue="66PEyM8exV5gH4hvoOTXog==" spinCount="100000" sqref="C1:C7" name="Range1" securityDescriptor="O:WDG:WDD:(A;;CC;;;AU)"/>
  </protectedRanges>
  <pageMargins left="0.7" right="0.7" top="0.75" bottom="0.75" header="0.3" footer="0.3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"/>
  <sheetViews>
    <sheetView workbookViewId="0">
      <selection activeCell="F14" sqref="F14"/>
    </sheetView>
  </sheetViews>
  <sheetFormatPr defaultRowHeight="15" x14ac:dyDescent="0.25"/>
  <cols>
    <col min="1" max="1" width="64.85546875" bestFit="1" customWidth="1"/>
    <col min="2" max="2" width="22.5703125" bestFit="1" customWidth="1"/>
    <col min="3" max="3" width="21.5703125" bestFit="1" customWidth="1"/>
    <col min="4" max="11" width="18" bestFit="1" customWidth="1"/>
  </cols>
  <sheetData>
    <row r="1" spans="1:11" x14ac:dyDescent="0.25">
      <c r="B1" s="1" t="s">
        <v>19</v>
      </c>
      <c r="C1" s="21"/>
    </row>
    <row r="2" spans="1:11" x14ac:dyDescent="0.25">
      <c r="B2" s="1" t="s">
        <v>22</v>
      </c>
      <c r="C2" s="21"/>
    </row>
    <row r="3" spans="1:11" x14ac:dyDescent="0.25">
      <c r="B3" s="1" t="s">
        <v>23</v>
      </c>
      <c r="C3" s="22"/>
    </row>
    <row r="4" spans="1:11" x14ac:dyDescent="0.25">
      <c r="B4" s="1" t="s">
        <v>32</v>
      </c>
      <c r="C4" s="22" t="s">
        <v>34</v>
      </c>
    </row>
    <row r="5" spans="1:11" x14ac:dyDescent="0.25">
      <c r="B5" s="1" t="s">
        <v>0</v>
      </c>
      <c r="C5" s="21" t="s">
        <v>21</v>
      </c>
    </row>
    <row r="6" spans="1:11" x14ac:dyDescent="0.25">
      <c r="B6" s="1" t="s">
        <v>1</v>
      </c>
      <c r="C6" s="27">
        <v>1</v>
      </c>
    </row>
    <row r="7" spans="1:11" ht="30" x14ac:dyDescent="0.25">
      <c r="B7" s="5" t="s">
        <v>31</v>
      </c>
      <c r="C7" s="23">
        <v>170000</v>
      </c>
    </row>
    <row r="8" spans="1:11" ht="30" x14ac:dyDescent="0.25">
      <c r="B8" s="5" t="s">
        <v>40</v>
      </c>
      <c r="C8" s="7">
        <f>(C6*(212100/12)*C10)</f>
        <v>159075</v>
      </c>
    </row>
    <row r="9" spans="1:11" ht="30" x14ac:dyDescent="0.25">
      <c r="B9" s="5" t="s">
        <v>41</v>
      </c>
      <c r="C9" s="7">
        <f>(C6*(221900/12)*C10)</f>
        <v>166425</v>
      </c>
    </row>
    <row r="10" spans="1:11" x14ac:dyDescent="0.25">
      <c r="B10" s="1" t="s">
        <v>2</v>
      </c>
      <c r="C10" s="8">
        <v>9</v>
      </c>
    </row>
    <row r="12" spans="1:11" x14ac:dyDescent="0.25">
      <c r="A12" s="2" t="s">
        <v>3</v>
      </c>
      <c r="B12" s="2" t="s">
        <v>5</v>
      </c>
      <c r="C12" s="2" t="s">
        <v>6</v>
      </c>
      <c r="D12" s="2" t="s">
        <v>7</v>
      </c>
      <c r="E12" s="2" t="s">
        <v>8</v>
      </c>
      <c r="F12" s="2" t="s">
        <v>9</v>
      </c>
      <c r="G12" s="2" t="s">
        <v>10</v>
      </c>
      <c r="H12" s="2" t="s">
        <v>11</v>
      </c>
      <c r="I12" s="2" t="s">
        <v>12</v>
      </c>
      <c r="J12" s="2" t="s">
        <v>13</v>
      </c>
      <c r="K12" s="2" t="s">
        <v>14</v>
      </c>
    </row>
    <row r="13" spans="1:11" x14ac:dyDescent="0.25">
      <c r="A13" s="4" t="s">
        <v>24</v>
      </c>
      <c r="B13" s="9">
        <f>0.5*(C7/C10)</f>
        <v>9444.4444444444453</v>
      </c>
      <c r="C13" s="9">
        <f>$C$7/$C$10</f>
        <v>18888.888888888891</v>
      </c>
      <c r="D13" s="9">
        <f t="shared" ref="D13:J13" si="0">$C$7/$C$10</f>
        <v>18888.888888888891</v>
      </c>
      <c r="E13" s="9">
        <f t="shared" si="0"/>
        <v>18888.888888888891</v>
      </c>
      <c r="F13" s="9">
        <f t="shared" si="0"/>
        <v>18888.888888888891</v>
      </c>
      <c r="G13" s="9">
        <f t="shared" si="0"/>
        <v>18888.888888888891</v>
      </c>
      <c r="H13" s="9">
        <f t="shared" si="0"/>
        <v>18888.888888888891</v>
      </c>
      <c r="I13" s="9">
        <f t="shared" si="0"/>
        <v>18888.888888888891</v>
      </c>
      <c r="J13" s="9">
        <f t="shared" si="0"/>
        <v>18888.888888888891</v>
      </c>
      <c r="K13" s="9">
        <f>0.5*(C7/C10)</f>
        <v>9444.4444444444453</v>
      </c>
    </row>
    <row r="14" spans="1:11" x14ac:dyDescent="0.25">
      <c r="A14" s="4" t="s">
        <v>16</v>
      </c>
      <c r="B14" s="24">
        <v>7.0000000000000007E-2</v>
      </c>
      <c r="C14" s="24">
        <v>7.0000000000000007E-2</v>
      </c>
      <c r="D14" s="24">
        <v>7.0000000000000007E-2</v>
      </c>
      <c r="E14" s="24">
        <v>7.0000000000000007E-2</v>
      </c>
      <c r="F14" s="24">
        <v>7.0000000000000007E-2</v>
      </c>
      <c r="G14" s="24">
        <v>7.0000000000000007E-2</v>
      </c>
      <c r="H14" s="24">
        <v>7.0000000000000007E-2</v>
      </c>
      <c r="I14" s="24">
        <v>7.0000000000000007E-2</v>
      </c>
      <c r="J14" s="24">
        <v>7.0000000000000007E-2</v>
      </c>
      <c r="K14" s="24">
        <v>7.0000000000000007E-2</v>
      </c>
    </row>
    <row r="15" spans="1:11" x14ac:dyDescent="0.25">
      <c r="A15" s="4" t="s">
        <v>25</v>
      </c>
      <c r="B15" s="9">
        <f>B13*B14</f>
        <v>661.1111111111112</v>
      </c>
      <c r="C15" s="9">
        <f t="shared" ref="C15:K15" si="1">C13*C14</f>
        <v>1322.2222222222224</v>
      </c>
      <c r="D15" s="9">
        <f t="shared" si="1"/>
        <v>1322.2222222222224</v>
      </c>
      <c r="E15" s="9">
        <f t="shared" si="1"/>
        <v>1322.2222222222224</v>
      </c>
      <c r="F15" s="9">
        <f t="shared" si="1"/>
        <v>1322.2222222222224</v>
      </c>
      <c r="G15" s="9">
        <f t="shared" si="1"/>
        <v>1322.2222222222224</v>
      </c>
      <c r="H15" s="9">
        <f t="shared" si="1"/>
        <v>1322.2222222222224</v>
      </c>
      <c r="I15" s="9">
        <f t="shared" si="1"/>
        <v>1322.2222222222224</v>
      </c>
      <c r="J15" s="9">
        <f t="shared" si="1"/>
        <v>1322.2222222222224</v>
      </c>
      <c r="K15" s="9">
        <f t="shared" si="1"/>
        <v>661.1111111111112</v>
      </c>
    </row>
    <row r="16" spans="1:11" x14ac:dyDescent="0.25">
      <c r="A16" s="4" t="s">
        <v>17</v>
      </c>
      <c r="B16" s="9">
        <f>((0.5*($C$8))/$C$10)*B14</f>
        <v>618.62500000000011</v>
      </c>
      <c r="C16" s="9">
        <f>(($C$8)/$C$10)*C14</f>
        <v>1237.2500000000002</v>
      </c>
      <c r="D16" s="9">
        <f t="shared" ref="D16:F16" si="2">(($C$8)/$C$10)*D14</f>
        <v>1237.2500000000002</v>
      </c>
      <c r="E16" s="9">
        <f t="shared" si="2"/>
        <v>1237.2500000000002</v>
      </c>
      <c r="F16" s="9">
        <f t="shared" si="2"/>
        <v>1237.2500000000002</v>
      </c>
      <c r="G16" s="9">
        <f>(($C$9)/$C$10)*G14</f>
        <v>1294.416666666667</v>
      </c>
      <c r="H16" s="9">
        <f>(($C$9)/$C$10)*H14</f>
        <v>1294.416666666667</v>
      </c>
      <c r="I16" s="9">
        <f t="shared" ref="I16:J16" si="3">(($C$9)/$C$10)*I14</f>
        <v>1294.416666666667</v>
      </c>
      <c r="J16" s="9">
        <f t="shared" si="3"/>
        <v>1294.416666666667</v>
      </c>
      <c r="K16" s="9">
        <f>((0.5*($C$9))/$C$10)*K14</f>
        <v>647.20833333333348</v>
      </c>
    </row>
    <row r="17" spans="1:11" x14ac:dyDescent="0.25">
      <c r="A17" s="4" t="s">
        <v>18</v>
      </c>
      <c r="B17" s="9">
        <f>(0.5*($C$7/$C$10)*B14)-B16</f>
        <v>42.486111111111086</v>
      </c>
      <c r="C17" s="9">
        <f t="shared" ref="C17:J17" si="4">(($C$7/$C$10)*C14)-C16</f>
        <v>84.972222222222172</v>
      </c>
      <c r="D17" s="9">
        <f t="shared" si="4"/>
        <v>84.972222222222172</v>
      </c>
      <c r="E17" s="9">
        <f t="shared" si="4"/>
        <v>84.972222222222172</v>
      </c>
      <c r="F17" s="9">
        <f t="shared" si="4"/>
        <v>84.972222222222172</v>
      </c>
      <c r="G17" s="9">
        <f t="shared" si="4"/>
        <v>27.805555555555429</v>
      </c>
      <c r="H17" s="9">
        <f t="shared" si="4"/>
        <v>27.805555555555429</v>
      </c>
      <c r="I17" s="9">
        <f t="shared" si="4"/>
        <v>27.805555555555429</v>
      </c>
      <c r="J17" s="9">
        <f t="shared" si="4"/>
        <v>27.805555555555429</v>
      </c>
      <c r="K17" s="9">
        <f>((0.5*($C$7/$C$10)*K14)-K16)</f>
        <v>13.902777777777715</v>
      </c>
    </row>
    <row r="18" spans="1:11" x14ac:dyDescent="0.25">
      <c r="A18" s="4" t="s">
        <v>28</v>
      </c>
      <c r="B18" s="10">
        <f>ROUNDDOWN((B16/(0.5*($C$7/$C$10))), 4)</f>
        <v>6.5500000000000003E-2</v>
      </c>
      <c r="C18" s="10">
        <f>ROUNDDOWN((C16/($C$7/$C$10)), 4)</f>
        <v>6.5500000000000003E-2</v>
      </c>
      <c r="D18" s="10">
        <f t="shared" ref="D18:J18" si="5">ROUNDDOWN((D16/($C$7/$C$10)), 4)</f>
        <v>6.5500000000000003E-2</v>
      </c>
      <c r="E18" s="10">
        <f t="shared" si="5"/>
        <v>6.5500000000000003E-2</v>
      </c>
      <c r="F18" s="10">
        <f t="shared" si="5"/>
        <v>6.5500000000000003E-2</v>
      </c>
      <c r="G18" s="10">
        <f t="shared" si="5"/>
        <v>6.8500000000000005E-2</v>
      </c>
      <c r="H18" s="10">
        <f t="shared" si="5"/>
        <v>6.8500000000000005E-2</v>
      </c>
      <c r="I18" s="10">
        <f t="shared" si="5"/>
        <v>6.8500000000000005E-2</v>
      </c>
      <c r="J18" s="10">
        <f t="shared" si="5"/>
        <v>6.8500000000000005E-2</v>
      </c>
      <c r="K18" s="10">
        <f>ROUNDDOWN((K16/(0.5*($C$7/$C$10))), 4)</f>
        <v>6.8500000000000005E-2</v>
      </c>
    </row>
    <row r="19" spans="1:11" x14ac:dyDescent="0.25">
      <c r="A19" s="4" t="s">
        <v>29</v>
      </c>
      <c r="B19" s="10">
        <f>ROUNDUP((B17/(0.5*($C$7/$C$10))), 4)</f>
        <v>4.5000000000000005E-3</v>
      </c>
      <c r="C19" s="10">
        <f>ROUNDUP((C17/($C$7/$C$10)), 4)</f>
        <v>4.5000000000000005E-3</v>
      </c>
      <c r="D19" s="10">
        <f t="shared" ref="D19:J19" si="6">ROUNDUP((D17/($C$7/$C$10)), 4)</f>
        <v>4.5000000000000005E-3</v>
      </c>
      <c r="E19" s="10">
        <f t="shared" si="6"/>
        <v>4.5000000000000005E-3</v>
      </c>
      <c r="F19" s="10">
        <f t="shared" si="6"/>
        <v>4.5000000000000005E-3</v>
      </c>
      <c r="G19" s="10">
        <f t="shared" si="6"/>
        <v>1.5E-3</v>
      </c>
      <c r="H19" s="10">
        <f t="shared" si="6"/>
        <v>1.5E-3</v>
      </c>
      <c r="I19" s="10">
        <f t="shared" si="6"/>
        <v>1.5E-3</v>
      </c>
      <c r="J19" s="10">
        <f t="shared" si="6"/>
        <v>1.5E-3</v>
      </c>
      <c r="K19" s="10">
        <f>ROUNDUP((K17/(0.5*($C$7/$C$10))), 4)</f>
        <v>1.5E-3</v>
      </c>
    </row>
    <row r="21" spans="1:11" x14ac:dyDescent="0.25">
      <c r="A21" s="26" t="s">
        <v>37</v>
      </c>
    </row>
  </sheetData>
  <sheetProtection algorithmName="SHA-512" hashValue="Ynv6yV2JbUGIHBFRcb2b+VvBZpzX8MuvG7CdiyBrVb5U7tVEDXLB7JLVoVO+Ie5jnThjsc9hOYDrOL/ilPYOqQ==" saltValue="UUutlOjIaTNVGlwC5nnpGw==" spinCount="100000" sheet="1" objects="1" scenarios="1" selectLockedCells="1"/>
  <pageMargins left="0.7" right="0.7" top="0.75" bottom="0.75" header="0.3" footer="0.3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12 month</vt:lpstr>
      <vt:lpstr>10 Month</vt:lpstr>
      <vt:lpstr>9 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Spradlin, Penelope</dc:creator>
  <cp:lastModifiedBy>Wallace, Cherri S.</cp:lastModifiedBy>
  <cp:lastPrinted>2018-10-10T18:11:09Z</cp:lastPrinted>
  <dcterms:created xsi:type="dcterms:W3CDTF">2018-10-02T12:07:21Z</dcterms:created>
  <dcterms:modified xsi:type="dcterms:W3CDTF">2024-01-29T18:16:31Z</dcterms:modified>
</cp:coreProperties>
</file>